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BHP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<sst xmlns="http://schemas.openxmlformats.org/spreadsheetml/2006/main" count="87" uniqueCount="72">
  <si>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Well Parameters:</t>
  </si>
  <si>
    <t>Tubing ID:</t>
  </si>
  <si>
    <t xml:space="preserve">  in</t>
  </si>
  <si>
    <t>Gas specific gravity:</t>
  </si>
  <si>
    <t xml:space="preserve">  1 for air</t>
  </si>
  <si>
    <t>Calculated Values:</t>
  </si>
  <si>
    <t>Wellhead temperature:</t>
  </si>
  <si>
    <t xml:space="preserve">  F</t>
  </si>
  <si>
    <t>Bottom hole temperature:</t>
  </si>
  <si>
    <t xml:space="preserve">  ft</t>
  </si>
  <si>
    <t xml:space="preserve">  psia</t>
  </si>
  <si>
    <t>Choke size:</t>
  </si>
  <si>
    <t>Measured surface pressure:</t>
  </si>
  <si>
    <t>Location of measurement (Downstream choke=1, Upstream choke=0):</t>
  </si>
  <si>
    <t>Gas Well BHP Spreadsheet</t>
  </si>
  <si>
    <t>Flowline ID:</t>
  </si>
  <si>
    <t>Gas production rate:</t>
  </si>
  <si>
    <t xml:space="preserve">  Mscf/d</t>
  </si>
  <si>
    <r>
      <t>Mole fraction of 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</si>
  <si>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:</t>
    </r>
  </si>
  <si>
    <r>
      <t>Mole fraction of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  <r>
      <rPr>
        <sz val="10"/>
        <rFont val="Arial"/>
        <family val="0"/>
      </rPr>
      <t>:</t>
    </r>
  </si>
  <si>
    <t>Pseudocritical pressure:</t>
  </si>
  <si>
    <t>Pseudocritical temperature:</t>
  </si>
  <si>
    <t xml:space="preserve">  R</t>
  </si>
  <si>
    <t>Minimum required upstream choke pressure for sonic flow:</t>
  </si>
  <si>
    <r>
      <t>p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</t>
    </r>
  </si>
  <si>
    <t>Gas viscosity at 14.7 psia and wellhead temperature:</t>
  </si>
  <si>
    <t xml:space="preserve">  cp</t>
  </si>
  <si>
    <r>
      <t>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 and wellhead temperature: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</si>
  <si>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correction for gas viscosity at 14.7 psia and wellhead temperature: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</si>
  <si>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S correction for gas viscosity at 14.7 psia and wellhead temperature:</t>
    </r>
  </si>
  <si>
    <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 xml:space="preserve"> =</t>
    </r>
  </si>
  <si>
    <r>
      <t>Corrected gas viscosity at 14.7 psia and wellhead temperature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):</t>
    </r>
  </si>
  <si>
    <r>
      <t>ln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/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1*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pr</t>
    </r>
    <r>
      <rPr>
        <sz val="10"/>
        <rFont val="Arial"/>
        <family val="0"/>
      </rPr>
      <t>):</t>
    </r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</si>
  <si>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</si>
  <si>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</si>
  <si>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</si>
  <si>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</si>
  <si>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r>
      <t>a</t>
    </r>
    <r>
      <rPr>
        <vertAlign val="subscript"/>
        <sz val="10"/>
        <rFont val="Arial"/>
        <family val="2"/>
      </rPr>
      <t>5</t>
    </r>
  </si>
  <si>
    <r>
      <t>a</t>
    </r>
    <r>
      <rPr>
        <vertAlign val="subscript"/>
        <sz val="10"/>
        <rFont val="Arial"/>
        <family val="2"/>
      </rPr>
      <t>6</t>
    </r>
  </si>
  <si>
    <r>
      <t>a</t>
    </r>
    <r>
      <rPr>
        <vertAlign val="subscript"/>
        <sz val="10"/>
        <rFont val="Arial"/>
        <family val="2"/>
      </rPr>
      <t>7</t>
    </r>
  </si>
  <si>
    <r>
      <t>a</t>
    </r>
    <r>
      <rPr>
        <vertAlign val="subscript"/>
        <sz val="10"/>
        <rFont val="Arial"/>
        <family val="2"/>
      </rPr>
      <t>8</t>
    </r>
  </si>
  <si>
    <r>
      <t>a</t>
    </r>
    <r>
      <rPr>
        <vertAlign val="subscript"/>
        <sz val="10"/>
        <rFont val="Arial"/>
        <family val="2"/>
      </rPr>
      <t>9</t>
    </r>
  </si>
  <si>
    <r>
      <t>a</t>
    </r>
    <r>
      <rPr>
        <vertAlign val="subscript"/>
        <sz val="10"/>
        <rFont val="Arial"/>
        <family val="2"/>
      </rPr>
      <t>10</t>
    </r>
  </si>
  <si>
    <r>
      <t>a</t>
    </r>
    <r>
      <rPr>
        <vertAlign val="subscript"/>
        <sz val="10"/>
        <rFont val="Arial"/>
        <family val="2"/>
      </rPr>
      <t>11</t>
    </r>
  </si>
  <si>
    <r>
      <t>a</t>
    </r>
    <r>
      <rPr>
        <vertAlign val="subscript"/>
        <sz val="10"/>
        <rFont val="Arial"/>
        <family val="2"/>
      </rPr>
      <t>12</t>
    </r>
  </si>
  <si>
    <r>
      <t>a</t>
    </r>
    <r>
      <rPr>
        <vertAlign val="subscript"/>
        <sz val="10"/>
        <rFont val="Arial"/>
        <family val="2"/>
      </rPr>
      <t>13</t>
    </r>
  </si>
  <si>
    <r>
      <t>a</t>
    </r>
    <r>
      <rPr>
        <vertAlign val="subscript"/>
        <sz val="10"/>
        <rFont val="Arial"/>
        <family val="2"/>
      </rPr>
      <t>14</t>
    </r>
  </si>
  <si>
    <r>
      <t>a</t>
    </r>
    <r>
      <rPr>
        <vertAlign val="subscript"/>
        <sz val="10"/>
        <rFont val="Arial"/>
        <family val="2"/>
      </rPr>
      <t>15</t>
    </r>
  </si>
  <si>
    <r>
      <t>a</t>
    </r>
    <r>
      <rPr>
        <vertAlign val="subscript"/>
        <sz val="10"/>
        <rFont val="Arial"/>
        <family val="2"/>
      </rPr>
      <t>1</t>
    </r>
  </si>
  <si>
    <r>
      <t>Gas viscosity at wellhead (</t>
    </r>
    <r>
      <rPr>
        <sz val="10"/>
        <rFont val="Symbol"/>
        <family val="1"/>
      </rPr>
      <t>m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>):</t>
    </r>
  </si>
  <si>
    <t xml:space="preserve">  1/64 inch</t>
  </si>
  <si>
    <t xml:space="preserve">  inch</t>
  </si>
  <si>
    <t>Reynold's number at choke:</t>
  </si>
  <si>
    <t>Reynold's number at choke for choke coefficient determination:</t>
  </si>
  <si>
    <t>Choke coefficient:</t>
  </si>
  <si>
    <t>Flowing bottom hole pressure:</t>
  </si>
  <si>
    <t>Tubing length:</t>
  </si>
  <si>
    <t>The average inclination angle:</t>
  </si>
  <si>
    <t xml:space="preserve">  Deg</t>
  </si>
  <si>
    <t>The average temperature:</t>
  </si>
  <si>
    <t>The average pressure:</t>
  </si>
  <si>
    <t>A =</t>
  </si>
  <si>
    <t>B =</t>
  </si>
  <si>
    <t>C =</t>
  </si>
  <si>
    <t>D =</t>
  </si>
  <si>
    <t>The average z-factor:</t>
  </si>
  <si>
    <t>s-value:</t>
  </si>
  <si>
    <t>Friction factor:</t>
  </si>
  <si>
    <t>Friction pressure term:</t>
  </si>
  <si>
    <t>Residual error of objective function:</t>
  </si>
  <si>
    <t>Wellhead pressure (sonic flow):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</si>
</sst>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" fontId="4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4</xdr:col>
      <xdr:colOff>323850</xdr:colOff>
      <xdr:row>6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28625" y="400050"/>
          <a:ext cx="2333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Step 1: Update parameter values in blue.
Step 2: Run Macro DrGuo.
Step 3: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tabSelected="1" workbookViewId="0" topLeftCell="A1">
      <selection activeCell="F57" sqref="F57"/>
    </sheetView>
  </sheetViews>
  <sheetFormatPr defaultColWidth="9.140625" defaultRowHeight="12.75"/>
  <cols>
    <col min="5" max="5" width="32.57421875" style="0" customWidth="1"/>
    <col min="6" max="6" width="14.7109375" style="0" customWidth="1"/>
    <col min="7" max="7" width="10.7109375" style="0" customWidth="1"/>
    <col min="8" max="8" width="28.140625" style="0" customWidth="1"/>
    <col min="9" max="9" width="12.140625" style="0" bestFit="1" customWidth="1"/>
  </cols>
  <sheetData>
    <row r="1" spans="1:7" ht="18">
      <c r="A1" s="3" t="s">
        <v>14</v>
      </c>
      <c r="B1" s="4"/>
      <c r="C1" s="4"/>
      <c r="D1" s="4"/>
      <c r="E1" s="4"/>
      <c r="F1" s="4"/>
      <c r="G1" s="5"/>
    </row>
    <row r="2" spans="1:7" ht="12.75">
      <c r="A2" s="6"/>
      <c r="B2" s="7"/>
      <c r="C2" s="7"/>
      <c r="D2" s="7"/>
      <c r="E2" s="7"/>
      <c r="F2" s="7"/>
      <c r="G2" s="8"/>
    </row>
    <row r="3" spans="1:7" ht="12.75">
      <c r="A3" s="6"/>
      <c r="B3" s="7"/>
      <c r="C3" s="7"/>
      <c r="D3" s="7"/>
      <c r="E3" s="7"/>
      <c r="F3" s="7"/>
      <c r="G3" s="8"/>
    </row>
    <row r="4" spans="1:7" ht="12.75">
      <c r="A4" s="6"/>
      <c r="B4" s="7"/>
      <c r="C4" s="7"/>
      <c r="D4" s="7"/>
      <c r="E4" s="7"/>
      <c r="F4" s="7"/>
      <c r="G4" s="8"/>
    </row>
    <row r="5" spans="1:7" ht="12.75">
      <c r="A5" s="6"/>
      <c r="B5" s="7"/>
      <c r="C5" s="7"/>
      <c r="D5" s="7"/>
      <c r="E5" s="7"/>
      <c r="F5" s="7"/>
      <c r="G5" s="8"/>
    </row>
    <row r="6" spans="1:7" ht="12.75">
      <c r="A6" s="6"/>
      <c r="B6" s="7"/>
      <c r="C6" s="7"/>
      <c r="D6" s="7"/>
      <c r="E6" s="7"/>
      <c r="F6" s="7"/>
      <c r="G6" s="8"/>
    </row>
    <row r="7" spans="1:7" ht="12.75">
      <c r="A7" s="6"/>
      <c r="B7" s="7"/>
      <c r="C7" s="7"/>
      <c r="D7" s="7"/>
      <c r="E7" s="7"/>
      <c r="F7" s="7"/>
      <c r="G7" s="8"/>
    </row>
    <row r="8" spans="1:7" ht="12.75">
      <c r="A8" s="6"/>
      <c r="B8" s="7"/>
      <c r="C8" s="7"/>
      <c r="D8" s="7"/>
      <c r="E8" s="7"/>
      <c r="F8" s="7"/>
      <c r="G8" s="8"/>
    </row>
    <row r="9" spans="1:7" ht="12.75">
      <c r="A9" s="9" t="s">
        <v>0</v>
      </c>
      <c r="B9" s="7"/>
      <c r="C9" s="7"/>
      <c r="D9" s="7"/>
      <c r="E9" s="7"/>
      <c r="F9" s="7"/>
      <c r="G9" s="8"/>
    </row>
    <row r="10" spans="1:7" ht="12.75">
      <c r="A10" s="9"/>
      <c r="B10" s="7"/>
      <c r="C10" s="7"/>
      <c r="D10" s="7"/>
      <c r="E10" s="7"/>
      <c r="F10" s="7"/>
      <c r="G10" s="8"/>
    </row>
    <row r="11" spans="1:7" ht="12.75">
      <c r="A11" s="6"/>
      <c r="B11" s="7" t="s">
        <v>12</v>
      </c>
      <c r="C11" s="7"/>
      <c r="D11" s="7"/>
      <c r="E11" s="7"/>
      <c r="F11" s="10">
        <v>200</v>
      </c>
      <c r="G11" s="8" t="s">
        <v>10</v>
      </c>
    </row>
    <row r="12" spans="1:7" ht="12.75">
      <c r="A12" s="6"/>
      <c r="B12" s="7" t="s">
        <v>13</v>
      </c>
      <c r="C12" s="7"/>
      <c r="D12" s="7"/>
      <c r="E12" s="7"/>
      <c r="F12" s="10">
        <v>1</v>
      </c>
      <c r="G12" s="8"/>
    </row>
    <row r="13" spans="1:9" ht="12.75">
      <c r="A13" s="6"/>
      <c r="B13" s="7" t="s">
        <v>11</v>
      </c>
      <c r="C13" s="7"/>
      <c r="D13" s="7"/>
      <c r="E13" s="7"/>
      <c r="F13" s="10">
        <v>32</v>
      </c>
      <c r="G13" s="8" t="s">
        <v>51</v>
      </c>
      <c r="H13">
        <f>F13/64</f>
        <v>0.5</v>
      </c>
      <c r="I13" t="s">
        <v>52</v>
      </c>
    </row>
    <row r="14" spans="1:7" ht="12.75">
      <c r="A14" s="6"/>
      <c r="B14" s="7" t="s">
        <v>15</v>
      </c>
      <c r="C14" s="7"/>
      <c r="D14" s="7"/>
      <c r="E14" s="7"/>
      <c r="F14" s="10">
        <v>2</v>
      </c>
      <c r="G14" s="8" t="s">
        <v>2</v>
      </c>
    </row>
    <row r="15" spans="1:7" ht="12.75">
      <c r="A15" s="6"/>
      <c r="B15" s="7" t="s">
        <v>1</v>
      </c>
      <c r="C15" s="7"/>
      <c r="D15" s="7"/>
      <c r="E15" s="7"/>
      <c r="F15" s="10">
        <v>2.441</v>
      </c>
      <c r="G15" s="8" t="s">
        <v>2</v>
      </c>
    </row>
    <row r="16" spans="1:7" ht="12.75">
      <c r="A16" s="6"/>
      <c r="B16" s="7" t="s">
        <v>16</v>
      </c>
      <c r="C16" s="7"/>
      <c r="D16" s="7"/>
      <c r="E16" s="7"/>
      <c r="F16" s="10">
        <v>4915</v>
      </c>
      <c r="G16" s="8" t="s">
        <v>17</v>
      </c>
    </row>
    <row r="17" spans="1:7" ht="12.75">
      <c r="A17" s="6"/>
      <c r="B17" s="7" t="s">
        <v>3</v>
      </c>
      <c r="C17" s="7"/>
      <c r="D17" s="7"/>
      <c r="E17" s="7"/>
      <c r="F17" s="10">
        <v>0.75</v>
      </c>
      <c r="G17" s="8" t="s">
        <v>4</v>
      </c>
    </row>
    <row r="18" spans="1:7" ht="15.75">
      <c r="A18" s="6"/>
      <c r="B18" s="7" t="s">
        <v>18</v>
      </c>
      <c r="C18" s="7"/>
      <c r="D18" s="7"/>
      <c r="E18" s="7"/>
      <c r="F18" s="10">
        <v>0.01</v>
      </c>
      <c r="G18" s="8"/>
    </row>
    <row r="19" spans="1:7" ht="15.75">
      <c r="A19" s="6"/>
      <c r="B19" s="7" t="s">
        <v>19</v>
      </c>
      <c r="C19" s="7"/>
      <c r="D19" s="7"/>
      <c r="E19" s="7"/>
      <c r="F19" s="10">
        <v>0.01</v>
      </c>
      <c r="G19" s="8"/>
    </row>
    <row r="20" spans="1:7" ht="15.75">
      <c r="A20" s="6"/>
      <c r="B20" s="7" t="s">
        <v>20</v>
      </c>
      <c r="C20" s="7"/>
      <c r="D20" s="7"/>
      <c r="E20" s="7"/>
      <c r="F20" s="10">
        <v>0.01</v>
      </c>
      <c r="G20" s="8"/>
    </row>
    <row r="21" spans="1:9" ht="15.75">
      <c r="A21" s="6"/>
      <c r="B21" s="7" t="s">
        <v>6</v>
      </c>
      <c r="C21" s="7"/>
      <c r="D21" s="7"/>
      <c r="E21" s="7"/>
      <c r="F21" s="10">
        <v>110</v>
      </c>
      <c r="G21" s="8" t="s">
        <v>7</v>
      </c>
      <c r="H21" s="2" t="s">
        <v>31</v>
      </c>
      <c r="I21">
        <f>(F21+460)/F29</f>
        <v>1.4143043235531294</v>
      </c>
    </row>
    <row r="22" spans="1:7" ht="12.75">
      <c r="A22" s="6"/>
      <c r="B22" s="7" t="s">
        <v>57</v>
      </c>
      <c r="C22" s="7"/>
      <c r="D22" s="7"/>
      <c r="E22" s="7"/>
      <c r="F22" s="10">
        <v>10000</v>
      </c>
      <c r="G22" s="8" t="s">
        <v>9</v>
      </c>
    </row>
    <row r="23" spans="1:7" ht="12.75">
      <c r="A23" s="6"/>
      <c r="B23" s="7" t="s">
        <v>58</v>
      </c>
      <c r="C23" s="7"/>
      <c r="D23" s="7"/>
      <c r="E23" s="7"/>
      <c r="F23" s="10">
        <v>0</v>
      </c>
      <c r="G23" s="8" t="s">
        <v>59</v>
      </c>
    </row>
    <row r="24" spans="1:7" ht="12.75">
      <c r="A24" s="6"/>
      <c r="B24" s="7" t="s">
        <v>8</v>
      </c>
      <c r="C24" s="7"/>
      <c r="D24" s="7"/>
      <c r="E24" s="7"/>
      <c r="F24" s="10">
        <v>245</v>
      </c>
      <c r="G24" s="8" t="s">
        <v>7</v>
      </c>
    </row>
    <row r="25" spans="1:7" ht="12.75">
      <c r="A25" s="6"/>
      <c r="B25" s="7"/>
      <c r="C25" s="7"/>
      <c r="D25" s="7"/>
      <c r="E25" s="7"/>
      <c r="F25" s="10"/>
      <c r="G25" s="8"/>
    </row>
    <row r="26" spans="1:7" ht="12.75">
      <c r="A26" s="9" t="s">
        <v>5</v>
      </c>
      <c r="B26" s="7"/>
      <c r="C26" s="7"/>
      <c r="D26" s="7"/>
      <c r="E26" s="7"/>
      <c r="F26" s="7"/>
      <c r="G26" s="8"/>
    </row>
    <row r="27" spans="1:7" ht="12.75">
      <c r="A27" s="9"/>
      <c r="B27" s="7"/>
      <c r="C27" s="7"/>
      <c r="D27" s="7"/>
      <c r="E27" s="7"/>
      <c r="F27" s="7"/>
      <c r="G27" s="8"/>
    </row>
    <row r="28" spans="1:7" ht="12.75">
      <c r="A28" s="6"/>
      <c r="B28" s="7" t="s">
        <v>21</v>
      </c>
      <c r="C28" s="7"/>
      <c r="D28" s="7"/>
      <c r="E28" s="7"/>
      <c r="F28" s="7">
        <f>678-50*(F17-0.5)-206.7*F18+440*F19+606.7*F20</f>
        <v>673.9</v>
      </c>
      <c r="G28" s="8" t="s">
        <v>10</v>
      </c>
    </row>
    <row r="29" spans="1:7" ht="12.75">
      <c r="A29" s="6"/>
      <c r="B29" s="7" t="s">
        <v>22</v>
      </c>
      <c r="C29" s="7"/>
      <c r="D29" s="7"/>
      <c r="E29" s="7"/>
      <c r="F29" s="7">
        <f>326+315.7*(F17-0.5)-240*F18-83.3*F19+133.3*F20</f>
        <v>403.02500000000003</v>
      </c>
      <c r="G29" s="8" t="s">
        <v>23</v>
      </c>
    </row>
    <row r="30" spans="1:9" ht="15.75">
      <c r="A30" s="6"/>
      <c r="B30" s="7" t="s">
        <v>24</v>
      </c>
      <c r="C30" s="7"/>
      <c r="D30" s="7"/>
      <c r="E30" s="7"/>
      <c r="F30" s="11">
        <f>F12*F11/0.546+(1-F12)*F11</f>
        <v>366.30036630036625</v>
      </c>
      <c r="G30" s="8" t="s">
        <v>10</v>
      </c>
      <c r="H30" s="2" t="s">
        <v>25</v>
      </c>
      <c r="I30">
        <f>F30/F28</f>
        <v>0.5435529994069837</v>
      </c>
    </row>
    <row r="31" spans="1:7" ht="12.75">
      <c r="A31" s="6"/>
      <c r="B31" s="7" t="s">
        <v>26</v>
      </c>
      <c r="C31" s="7"/>
      <c r="D31" s="7"/>
      <c r="E31" s="7"/>
      <c r="F31" s="12">
        <f>(1.709/100000-2.062/1000000*F17)*F21+8.188/1000-6.15/1000*LOG(F17)</f>
        <v>0.010666158230141045</v>
      </c>
      <c r="G31" s="8" t="s">
        <v>27</v>
      </c>
    </row>
    <row r="32" spans="1:7" ht="15.75">
      <c r="A32" s="6"/>
      <c r="B32" s="7" t="s">
        <v>28</v>
      </c>
      <c r="C32" s="7"/>
      <c r="D32" s="7"/>
      <c r="E32" s="7"/>
      <c r="F32" s="12">
        <f>F18*(8.48/1000*LOG(F17)+9.59/1000)</f>
        <v>8.530519513561616E-05</v>
      </c>
      <c r="G32" s="8" t="s">
        <v>27</v>
      </c>
    </row>
    <row r="33" spans="1:7" ht="15.75">
      <c r="A33" s="6"/>
      <c r="B33" s="7" t="s">
        <v>29</v>
      </c>
      <c r="C33" s="7"/>
      <c r="D33" s="7"/>
      <c r="E33" s="7"/>
      <c r="F33" s="12">
        <f>F19*(9.08/1000*LOG(F17)+6.24/1000)</f>
        <v>5.1055562715966365E-05</v>
      </c>
      <c r="G33" s="8" t="s">
        <v>27</v>
      </c>
    </row>
    <row r="34" spans="1:7" ht="15.75">
      <c r="A34" s="6"/>
      <c r="B34" s="7" t="s">
        <v>30</v>
      </c>
      <c r="C34" s="7"/>
      <c r="D34" s="7"/>
      <c r="E34" s="7"/>
      <c r="F34" s="12">
        <f>F20*(8.49/1000*LOG(F17)+3.73/1000)</f>
        <v>2.669270126195533E-05</v>
      </c>
      <c r="G34" s="8" t="s">
        <v>27</v>
      </c>
    </row>
    <row r="35" spans="1:7" ht="15.75">
      <c r="A35" s="6"/>
      <c r="B35" s="7" t="s">
        <v>32</v>
      </c>
      <c r="C35" s="7"/>
      <c r="D35" s="7"/>
      <c r="E35" s="7"/>
      <c r="F35" s="12">
        <f>F31+F32+F33+F34</f>
        <v>0.010829211689254584</v>
      </c>
      <c r="G35" s="8" t="s">
        <v>27</v>
      </c>
    </row>
    <row r="36" spans="1:12" ht="15.75">
      <c r="A36" s="6"/>
      <c r="B36" s="7" t="s">
        <v>33</v>
      </c>
      <c r="C36" s="7"/>
      <c r="D36" s="7"/>
      <c r="E36" s="7"/>
      <c r="F36" s="13">
        <f>L36+L37*I30+L38*I30^2+L39*I30^3+I21*(L40+L41*I30+L42*I30^2+L43*I30^3)+I21^2*(L44+L45*I30+L46*I30^2+L47*I30^3)+I21^3*(L48+L49*I30+L50*I30^2+L51*I30^3)</f>
        <v>0.3113693006802688</v>
      </c>
      <c r="G36" s="8"/>
      <c r="K36" t="s">
        <v>34</v>
      </c>
      <c r="L36">
        <v>-2.462</v>
      </c>
    </row>
    <row r="37" spans="1:12" ht="15.75">
      <c r="A37" s="6"/>
      <c r="B37" s="7" t="s">
        <v>50</v>
      </c>
      <c r="C37" s="7"/>
      <c r="D37" s="7"/>
      <c r="E37" s="7"/>
      <c r="F37" s="12">
        <f>F35/I21*EXP(F36)</f>
        <v>0.01045393856352899</v>
      </c>
      <c r="G37" s="8" t="s">
        <v>27</v>
      </c>
      <c r="K37" t="s">
        <v>49</v>
      </c>
      <c r="L37">
        <v>2.97</v>
      </c>
    </row>
    <row r="38" spans="1:12" ht="15.75">
      <c r="A38" s="6"/>
      <c r="B38" s="7" t="s">
        <v>53</v>
      </c>
      <c r="C38" s="7"/>
      <c r="D38" s="7"/>
      <c r="E38" s="7"/>
      <c r="F38" s="11">
        <f>20*F16*F17/F37/H13</f>
        <v>14104731.829438314</v>
      </c>
      <c r="G38" s="8"/>
      <c r="H38" s="1">
        <f>1000000-F38</f>
        <v>-13104731.829438314</v>
      </c>
      <c r="I38">
        <f>H38/ABS(H38)</f>
        <v>-1</v>
      </c>
      <c r="K38" t="s">
        <v>35</v>
      </c>
      <c r="L38">
        <f>-2.862/10</f>
        <v>-0.2862</v>
      </c>
    </row>
    <row r="39" spans="1:12" ht="15.75">
      <c r="A39" s="6"/>
      <c r="B39" s="7" t="s">
        <v>54</v>
      </c>
      <c r="C39" s="7"/>
      <c r="D39" s="7"/>
      <c r="E39" s="7"/>
      <c r="F39" s="13">
        <f>(1+I38)/2*F38+(1-I38)/2*1000000</f>
        <v>1000000</v>
      </c>
      <c r="G39" s="8"/>
      <c r="K39" t="s">
        <v>36</v>
      </c>
      <c r="L39">
        <f>8.054/1000</f>
        <v>0.008054</v>
      </c>
    </row>
    <row r="40" spans="1:12" ht="15.75">
      <c r="A40" s="6"/>
      <c r="B40" s="7" t="s">
        <v>55</v>
      </c>
      <c r="C40" s="7"/>
      <c r="D40" s="7"/>
      <c r="E40" s="7"/>
      <c r="F40" s="13">
        <f>(H13/F14)+0.3167/(H13/F14)^0.6+0.025*(LOG(F39)-4)</f>
        <v>1.027585538055122</v>
      </c>
      <c r="G40" s="8"/>
      <c r="K40" t="s">
        <v>37</v>
      </c>
      <c r="L40">
        <v>2.808</v>
      </c>
    </row>
    <row r="41" spans="1:12" ht="15.75">
      <c r="A41" s="6"/>
      <c r="B41" s="7" t="s">
        <v>71</v>
      </c>
      <c r="C41" s="7"/>
      <c r="D41" s="7"/>
      <c r="E41" s="7"/>
      <c r="F41" s="13">
        <f>(1-F12)*F11+F12*F16/879/F40/(3.14/4*H13^2)/SQRT((1.3/F17/(F21+460))*(2/(1.3+1))^((1.3+1)/(1.3-1)))</f>
        <v>859.1686786197766</v>
      </c>
      <c r="G41" s="8" t="s">
        <v>10</v>
      </c>
      <c r="K41" t="s">
        <v>38</v>
      </c>
      <c r="L41">
        <v>-3.498</v>
      </c>
    </row>
    <row r="42" spans="1:12" ht="15.75">
      <c r="A42" s="6"/>
      <c r="B42" s="7"/>
      <c r="C42" s="7"/>
      <c r="D42" s="7"/>
      <c r="E42" s="7"/>
      <c r="F42" s="14"/>
      <c r="G42" s="8"/>
      <c r="K42" t="s">
        <v>39</v>
      </c>
      <c r="L42">
        <f>3.603/10</f>
        <v>0.3603</v>
      </c>
    </row>
    <row r="43" spans="1:12" ht="15.75">
      <c r="A43" s="6"/>
      <c r="B43" s="7" t="s">
        <v>60</v>
      </c>
      <c r="C43" s="7"/>
      <c r="D43" s="7"/>
      <c r="E43" s="7"/>
      <c r="F43" s="13">
        <f>(F21+F24)/2+460</f>
        <v>637.5</v>
      </c>
      <c r="G43" s="8" t="s">
        <v>23</v>
      </c>
      <c r="H43" s="2" t="s">
        <v>31</v>
      </c>
      <c r="I43">
        <f>F43/F29</f>
        <v>1.5817877302896841</v>
      </c>
      <c r="K43" t="s">
        <v>40</v>
      </c>
      <c r="L43">
        <f>-1.044/100</f>
        <v>-0.01044</v>
      </c>
    </row>
    <row r="44" spans="1:12" ht="15.75">
      <c r="A44" s="6"/>
      <c r="B44" s="7" t="s">
        <v>61</v>
      </c>
      <c r="C44" s="7"/>
      <c r="D44" s="7"/>
      <c r="E44" s="7"/>
      <c r="F44" s="11">
        <f>(F41+F50)/2</f>
        <v>1093.6210010564337</v>
      </c>
      <c r="G44" s="8" t="s">
        <v>10</v>
      </c>
      <c r="H44" s="2" t="s">
        <v>25</v>
      </c>
      <c r="I44">
        <f>F44/F28</f>
        <v>1.6228238626746307</v>
      </c>
      <c r="K44" t="s">
        <v>41</v>
      </c>
      <c r="L44">
        <f>-7.933/10</f>
        <v>-0.7933</v>
      </c>
    </row>
    <row r="45" spans="1:12" ht="15.75">
      <c r="A45" s="6"/>
      <c r="B45" s="7" t="s">
        <v>66</v>
      </c>
      <c r="C45" s="7"/>
      <c r="D45" s="7"/>
      <c r="E45" s="7"/>
      <c r="F45" s="11">
        <f>I45+(1-I45)/EXP(I46)+I47*I44^I48</f>
        <v>0.8786612589486368</v>
      </c>
      <c r="G45" s="8"/>
      <c r="H45" s="2" t="s">
        <v>62</v>
      </c>
      <c r="I45">
        <f>1.39*(I43-0.92)^0.5-0.36*I43-0.101</f>
        <v>0.46032609907905153</v>
      </c>
      <c r="K45" t="s">
        <v>42</v>
      </c>
      <c r="L45">
        <f>1.396</f>
        <v>1.396</v>
      </c>
    </row>
    <row r="46" spans="1:12" ht="15.75">
      <c r="A46" s="6"/>
      <c r="B46" s="7" t="s">
        <v>67</v>
      </c>
      <c r="C46" s="7"/>
      <c r="D46" s="7"/>
      <c r="E46" s="7"/>
      <c r="F46" s="7">
        <f>2*F17*F22*COS(F23/57.3)/53.34/F43/F45</f>
        <v>0.5020379878245194</v>
      </c>
      <c r="G46" s="8"/>
      <c r="H46" s="2" t="s">
        <v>63</v>
      </c>
      <c r="I46">
        <f>(0.62-0.23*I43)*I44+(0.066/(I43-0.86)-0.037)*I44^2+0.32/10^(9*(I43-1))*I44^6</f>
        <v>0.5591531454186083</v>
      </c>
      <c r="K46" t="s">
        <v>43</v>
      </c>
      <c r="L46">
        <f>-1.491/10</f>
        <v>-0.1491</v>
      </c>
    </row>
    <row r="47" spans="1:12" ht="15.75">
      <c r="A47" s="6"/>
      <c r="B47" s="7" t="s">
        <v>68</v>
      </c>
      <c r="C47" s="7"/>
      <c r="D47" s="7"/>
      <c r="E47" s="7"/>
      <c r="F47" s="7">
        <f>0.00437/F15^0.224</f>
        <v>0.0035782135369211644</v>
      </c>
      <c r="G47" s="8"/>
      <c r="H47" s="2" t="s">
        <v>64</v>
      </c>
      <c r="I47">
        <f>0.132-0.32*LOG(I43)</f>
        <v>0.06827257521425051</v>
      </c>
      <c r="K47" t="s">
        <v>44</v>
      </c>
      <c r="L47">
        <f>4.41/1000</f>
        <v>0.00441</v>
      </c>
    </row>
    <row r="48" spans="1:12" ht="15.75">
      <c r="A48" s="6"/>
      <c r="B48" s="7" t="s">
        <v>69</v>
      </c>
      <c r="C48" s="7"/>
      <c r="D48" s="7"/>
      <c r="E48" s="7"/>
      <c r="F48" s="7">
        <f>100*F43*F45*F47*F22*(EXP(F46)-1)*(F16/1000)^2*F17/F15^5/F46</f>
        <v>544257.9853959789</v>
      </c>
      <c r="G48" s="8"/>
      <c r="H48" s="2" t="s">
        <v>65</v>
      </c>
      <c r="I48">
        <f>10^(0.3106-0.49*I43+0.1824*I43^2)</f>
        <v>0.9815182389537489</v>
      </c>
      <c r="K48" t="s">
        <v>45</v>
      </c>
      <c r="L48">
        <f>8.393/100</f>
        <v>0.08393</v>
      </c>
    </row>
    <row r="49" spans="1:12" ht="15.75">
      <c r="A49" s="6"/>
      <c r="B49" s="7" t="s">
        <v>70</v>
      </c>
      <c r="C49" s="7"/>
      <c r="D49" s="7"/>
      <c r="E49" s="7"/>
      <c r="F49" s="15">
        <f>F50^2-F41^2*EXP(F46)-F48</f>
        <v>-1.7889076843857765E-05</v>
      </c>
      <c r="G49" s="8"/>
      <c r="K49" t="s">
        <v>46</v>
      </c>
      <c r="L49">
        <f>-1.864/10</f>
        <v>-0.1864</v>
      </c>
    </row>
    <row r="50" spans="1:12" ht="16.5" thickBot="1">
      <c r="A50" s="16"/>
      <c r="B50" s="17" t="s">
        <v>56</v>
      </c>
      <c r="C50" s="17"/>
      <c r="D50" s="17"/>
      <c r="E50" s="17"/>
      <c r="F50" s="19">
        <v>1328.0733234930908</v>
      </c>
      <c r="G50" s="18" t="s">
        <v>10</v>
      </c>
      <c r="K50" t="s">
        <v>47</v>
      </c>
      <c r="L50">
        <f>2.033/100</f>
        <v>0.02033</v>
      </c>
    </row>
    <row r="51" spans="11:12" ht="15.75">
      <c r="K51" t="s">
        <v>48</v>
      </c>
      <c r="L51">
        <f>-6.095/10000</f>
        <v>-0.0006095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Louisiana at Lafayette</dc:creator>
  <cp:keywords/>
  <dc:description/>
  <cp:lastModifiedBy>University of Louisiana at Lafayette</cp:lastModifiedBy>
  <dcterms:created xsi:type="dcterms:W3CDTF">2003-08-06T15:33:53Z</dcterms:created>
  <dcterms:modified xsi:type="dcterms:W3CDTF">2003-09-04T12:58:27Z</dcterms:modified>
  <cp:category/>
  <cp:version/>
  <cp:contentType/>
  <cp:contentStatus/>
</cp:coreProperties>
</file>